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2020 centri di costo" sheetId="1" r:id="rId1"/>
    <sheet name="Foglio1" sheetId="2" r:id="rId2"/>
    <sheet name="Foglio2" sheetId="3" r:id="rId3"/>
  </sheets>
  <definedNames>
    <definedName name="_xlnm.Print_Area" localSheetId="0">'2020 centri di costo'!$A$1:$K$29</definedName>
  </definedNames>
  <calcPr fullCalcOnLoad="1"/>
</workbook>
</file>

<file path=xl/sharedStrings.xml><?xml version="1.0" encoding="utf-8"?>
<sst xmlns="http://schemas.openxmlformats.org/spreadsheetml/2006/main" count="81" uniqueCount="71">
  <si>
    <t>PIANO DEI CONTI</t>
  </si>
  <si>
    <t>A) VALORE DELLA PRODUZIONE</t>
  </si>
  <si>
    <t xml:space="preserve">     RICAVI DA ATTIVITA' PER SERV. ALLA PERS.</t>
  </si>
  <si>
    <t xml:space="preserve">     COSTI CAPITALIZZATI</t>
  </si>
  <si>
    <t xml:space="preserve">     VARIAZIONE DELLE RIMANENZE</t>
  </si>
  <si>
    <t xml:space="preserve">     PROVENTI E RICAVI DIVERSI</t>
  </si>
  <si>
    <t xml:space="preserve">     CONTRIBUTI IN CONTO ESERCIZIO</t>
  </si>
  <si>
    <t>B) COSTI DELLA PRODUZIONE</t>
  </si>
  <si>
    <t xml:space="preserve">     ACQUISTI BENI</t>
  </si>
  <si>
    <t xml:space="preserve">     ACQUISTI DI SERVIZI</t>
  </si>
  <si>
    <t xml:space="preserve">     GODIMENTO DI BENI DI TERZI</t>
  </si>
  <si>
    <t xml:space="preserve">     COSTO DEL PERSONALE DIPENDENTE</t>
  </si>
  <si>
    <t xml:space="preserve">     AMMORTAMENTI E SVALUTAZIONI</t>
  </si>
  <si>
    <t xml:space="preserve">     ONERI DIVERSI DI GESTIONE</t>
  </si>
  <si>
    <t>C) PROVENTI ED ONERI FINANZIARI</t>
  </si>
  <si>
    <t xml:space="preserve">     ALTRI PROVENTI FINANZIARI</t>
  </si>
  <si>
    <t xml:space="preserve">     INTERESSI PASSIVI ED ALTRI ONERI FIN.</t>
  </si>
  <si>
    <t>E) PROVENTI ED ONERI STRAORDINARI</t>
  </si>
  <si>
    <t xml:space="preserve">     PROVENTI STRAORDINARI</t>
  </si>
  <si>
    <t>I) IMPOSTE E TASSE</t>
  </si>
  <si>
    <t xml:space="preserve">     IMPOSTE SUL REDDITO</t>
  </si>
  <si>
    <t>RISULTATO DELLA GESTIONE CARATTERISTICA</t>
  </si>
  <si>
    <t xml:space="preserve">S.A.D.               </t>
  </si>
  <si>
    <t xml:space="preserve"> CRA                   </t>
  </si>
  <si>
    <t xml:space="preserve">HOSPICE             </t>
  </si>
  <si>
    <t xml:space="preserve">CSR GIARDINO          </t>
  </si>
  <si>
    <t>ALTRI</t>
  </si>
  <si>
    <t>CAMELOT</t>
  </si>
  <si>
    <t>SOCIALE MINORI E DISABILITA'</t>
  </si>
  <si>
    <t xml:space="preserve">CENTRO DISTRETTUALE FAMIGLIE </t>
  </si>
  <si>
    <t>PROGETTO POVERTA'</t>
  </si>
  <si>
    <t>U) PERDITA DI ESERCIZIO</t>
  </si>
  <si>
    <t>Consuntivo 2020</t>
  </si>
  <si>
    <t>Quota ammortamento 2020</t>
  </si>
  <si>
    <t>Altri beni</t>
  </si>
  <si>
    <t>Attrezzature socio-sanitarie</t>
  </si>
  <si>
    <t>Automezzi</t>
  </si>
  <si>
    <t>Fabbricati del patrimonio indisponibile</t>
  </si>
  <si>
    <t>Impianti e macchinari</t>
  </si>
  <si>
    <t>Macchine d'ufficio, computers</t>
  </si>
  <si>
    <t>Mobili e arredi</t>
  </si>
  <si>
    <t>Mobili a arredi di pregio artistico</t>
  </si>
  <si>
    <t>Software e di utilizza. Op.ing</t>
  </si>
  <si>
    <t>CRA</t>
  </si>
  <si>
    <t>SAD</t>
  </si>
  <si>
    <t>HOSPICE</t>
  </si>
  <si>
    <t>GIARDINO</t>
  </si>
  <si>
    <t>SOCIALE</t>
  </si>
  <si>
    <t>ALTRI /EXGRACER</t>
  </si>
  <si>
    <t>TOTALE</t>
  </si>
  <si>
    <t>oneri</t>
  </si>
  <si>
    <t>Gennaio</t>
  </si>
  <si>
    <t>GRUPPO FAMIGLIA</t>
  </si>
  <si>
    <t>PROG. POVERTA'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</si>
  <si>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</si>
  <si>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</si>
  <si>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</si>
  <si>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</si>
  <si>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</si>
  <si>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</si>
  <si>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</si>
  <si>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</si>
  <si>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</si>
  <si>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</si>
  <si>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</si>
  <si>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INAIL</t>
  </si>
  <si>
    <t>inail</t>
  </si>
  <si>
    <t xml:space="preserve">     ACCANTONAMENTO FONDO RISCHI</t>
  </si>
  <si>
    <t xml:space="preserve">     ALTRI ACCANTONAMENTI</t>
  </si>
  <si>
    <t>ASP Azalea Castel San Giovanni (PC)</t>
  </si>
  <si>
    <t>Allegato B2 Decisione Amm. Unico n° 14/2021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</si>
</sst>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#,##0_ ;\-#,##0\ "/>
    <numFmt numFmtId="173" formatCode="#,##0.0_ ;\-#,##0.0\ "/>
    <numFmt numFmtId="174" formatCode="#,##0.00_ ;\-#,##0.00\ "/>
    <numFmt numFmtId="175" formatCode="_-* #,##0_-;\-* #,##0_-;_-* &quot;-&quot;??_-;_-@_-"/>
    <numFmt numFmtId="176" formatCode="#,##0.0"/>
    <numFmt numFmtId="177" formatCode="0.0000"/>
    <numFmt numFmtId="178" formatCode="0.00000"/>
    <numFmt numFmtId="179" formatCode="#,##0_ ;[Red]\-#,##0\ "/>
    <numFmt numFmtId="180" formatCode="0.00_ ;\-0.00\ "/>
    <numFmt numFmtId="181" formatCode="0.00_ ;[Red]\-0.00\ "/>
    <numFmt numFmtId="182" formatCode="#,##0.000"/>
    <numFmt numFmtId="183" formatCode="#,##0.000_ ;\-#,##0.000\ "/>
    <numFmt numFmtId="184" formatCode="&quot;€&quot;\ #,##0"/>
    <numFmt numFmtId="185" formatCode="_-* #,##0.000_-;\-* #,##0.000_-;_-* &quot;-&quot;??_-;_-@_-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_ ;\-0\ "/>
    <numFmt numFmtId="193" formatCode="0;[Red]0"/>
    <numFmt numFmtId="194" formatCode="#,##0;[Red]#,##0"/>
  </numFmts>
  <fonts count="47">
    <font>
      <sz val="10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i/>
      <sz val="10"/>
      <color indexed="60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0" fontId="1" fillId="29" borderId="4">
      <alignment horizontal="center" vertical="top" wrapText="1"/>
      <protection/>
    </xf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0" fontId="35" fillId="20" borderId="6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9" borderId="4" xfId="0" applyNumberFormat="1" applyFont="1" applyFill="1" applyBorder="1" applyAlignment="1" applyProtection="1">
      <alignment horizontal="center" vertical="top" wrapText="1"/>
      <protection/>
    </xf>
    <xf numFmtId="0" fontId="1" fillId="34" borderId="4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1" fontId="0" fillId="0" borderId="0" xfId="0" applyNumberFormat="1" applyAlignment="1">
      <alignment/>
    </xf>
    <xf numFmtId="0" fontId="1" fillId="29" borderId="0" xfId="0" applyNumberFormat="1" applyFont="1" applyFill="1" applyBorder="1" applyAlignment="1" applyProtection="1">
      <alignment horizontal="center" vertical="top" wrapText="1"/>
      <protection/>
    </xf>
    <xf numFmtId="3" fontId="3" fillId="35" borderId="4" xfId="0" applyNumberFormat="1" applyFont="1" applyFill="1" applyBorder="1" applyAlignment="1" applyProtection="1">
      <alignment horizontal="left" vertical="top" wrapText="1"/>
      <protection/>
    </xf>
    <xf numFmtId="3" fontId="3" fillId="35" borderId="4" xfId="0" applyNumberFormat="1" applyFont="1" applyFill="1" applyBorder="1" applyAlignment="1" applyProtection="1">
      <alignment horizontal="right" vertical="top" wrapText="1"/>
      <protection/>
    </xf>
    <xf numFmtId="3" fontId="2" fillId="35" borderId="4" xfId="0" applyNumberFormat="1" applyFont="1" applyFill="1" applyBorder="1" applyAlignment="1" applyProtection="1">
      <alignment horizontal="left" vertical="top" wrapText="1"/>
      <protection/>
    </xf>
    <xf numFmtId="3" fontId="2" fillId="35" borderId="4" xfId="0" applyNumberFormat="1" applyFont="1" applyFill="1" applyBorder="1" applyAlignment="1" applyProtection="1">
      <alignment horizontal="right" vertical="top" wrapText="1"/>
      <protection/>
    </xf>
    <xf numFmtId="3" fontId="4" fillId="0" borderId="4" xfId="0" applyNumberFormat="1" applyFont="1" applyFill="1" applyBorder="1" applyAlignment="1" applyProtection="1">
      <alignment horizontal="left" vertical="top" wrapText="1"/>
      <protection/>
    </xf>
    <xf numFmtId="3" fontId="46" fillId="35" borderId="4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3" fontId="2" fillId="0" borderId="4" xfId="0" applyNumberFormat="1" applyFont="1" applyFill="1" applyBorder="1" applyAlignment="1" applyProtection="1">
      <alignment horizontal="right" vertical="top" wrapText="1"/>
      <protection/>
    </xf>
    <xf numFmtId="3" fontId="2" fillId="0" borderId="4" xfId="0" applyNumberFormat="1" applyFont="1" applyFill="1" applyBorder="1" applyAlignment="1" applyProtection="1">
      <alignment horizontal="left" vertical="top" wrapText="1"/>
      <protection/>
    </xf>
    <xf numFmtId="3" fontId="3" fillId="0" borderId="4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3" fontId="45" fillId="0" borderId="0" xfId="0" applyNumberFormat="1" applyFont="1" applyAlignment="1">
      <alignment/>
    </xf>
    <xf numFmtId="179" fontId="5" fillId="35" borderId="4" xfId="0" applyNumberFormat="1" applyFont="1" applyFill="1" applyBorder="1" applyAlignment="1" applyProtection="1">
      <alignment horizontal="right" vertical="top" wrapText="1"/>
      <protection/>
    </xf>
    <xf numFmtId="179" fontId="4" fillId="0" borderId="4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5" fillId="35" borderId="4" xfId="0" applyNumberFormat="1" applyFont="1" applyFill="1" applyBorder="1" applyAlignment="1" applyProtection="1">
      <alignment horizontal="right" vertical="top" wrapText="1"/>
      <protection/>
    </xf>
    <xf numFmtId="194" fontId="4" fillId="0" borderId="4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" fillId="29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B7"/>
      <rgbColor rgb="00FE7280"/>
      <rgbColor rgb="00F0F0F0"/>
      <rgbColor rgb="00FF0000"/>
      <rgbColor rgb="00F4F7FC"/>
      <rgbColor rgb="00A0A0A4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1.7109375" style="0" customWidth="1"/>
    <col min="2" max="2" width="15.28125" style="0" customWidth="1"/>
    <col min="3" max="3" width="18.00390625" style="0" customWidth="1"/>
    <col min="4" max="4" width="17.28125" style="0" customWidth="1"/>
    <col min="5" max="5" width="13.8515625" style="0" customWidth="1"/>
    <col min="6" max="6" width="16.00390625" style="0" customWidth="1"/>
    <col min="7" max="7" width="17.140625" style="0" customWidth="1"/>
    <col min="8" max="8" width="17.421875" style="0" customWidth="1"/>
    <col min="9" max="9" width="12.421875" style="0" customWidth="1"/>
    <col min="10" max="10" width="12.8515625" style="0" customWidth="1"/>
    <col min="11" max="11" width="12.140625" style="0" customWidth="1"/>
    <col min="12" max="12" width="9.140625" style="0" customWidth="1"/>
    <col min="13" max="13" width="10.140625" style="0" customWidth="1"/>
    <col min="14" max="14" width="9.140625" style="0" customWidth="1"/>
  </cols>
  <sheetData>
    <row r="1" s="32" customFormat="1" ht="15">
      <c r="A1" s="33" t="s">
        <v>69</v>
      </c>
    </row>
    <row r="2" s="32" customFormat="1" ht="15.75">
      <c r="A2" s="34" t="s">
        <v>70</v>
      </c>
    </row>
    <row r="3" s="32" customFormat="1" ht="15.75">
      <c r="A3" s="34"/>
    </row>
    <row r="4" spans="1:11" ht="12.75">
      <c r="A4" s="31"/>
      <c r="B4" s="31"/>
      <c r="C4" s="31"/>
      <c r="D4" s="31"/>
      <c r="E4" s="31"/>
      <c r="F4" s="31"/>
      <c r="G4" s="31"/>
      <c r="H4" s="6"/>
      <c r="I4" s="6"/>
      <c r="J4" s="6"/>
      <c r="K4" s="6"/>
    </row>
    <row r="5" spans="1:11" ht="31.5">
      <c r="A5" s="1" t="s">
        <v>0</v>
      </c>
      <c r="B5" s="1" t="s">
        <v>32</v>
      </c>
      <c r="C5" s="2" t="s">
        <v>23</v>
      </c>
      <c r="D5" s="2" t="s">
        <v>22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29</v>
      </c>
      <c r="J5" s="2" t="s">
        <v>30</v>
      </c>
      <c r="K5" s="2" t="s">
        <v>28</v>
      </c>
    </row>
    <row r="6" spans="1:13" ht="18.75" customHeight="1">
      <c r="A6" s="7" t="s">
        <v>1</v>
      </c>
      <c r="B6" s="8">
        <f>SUM(C6:K6)</f>
        <v>11147562.7</v>
      </c>
      <c r="C6" s="8">
        <f aca="true" t="shared" si="0" ref="C6:K6">C7+C8+C9+C10</f>
        <v>4159680.11</v>
      </c>
      <c r="D6" s="8">
        <f t="shared" si="0"/>
        <v>271142.23</v>
      </c>
      <c r="E6" s="8">
        <f t="shared" si="0"/>
        <v>970706</v>
      </c>
      <c r="F6" s="8">
        <f t="shared" si="0"/>
        <v>678508.4399999998</v>
      </c>
      <c r="G6" s="8">
        <f t="shared" si="0"/>
        <v>1059089.52</v>
      </c>
      <c r="H6" s="8">
        <f t="shared" si="0"/>
        <v>830881.8300000001</v>
      </c>
      <c r="I6" s="8">
        <f t="shared" si="0"/>
        <v>169278.93</v>
      </c>
      <c r="J6" s="8">
        <f t="shared" si="0"/>
        <v>100999.40000000001</v>
      </c>
      <c r="K6" s="8">
        <f t="shared" si="0"/>
        <v>2907276.2399999998</v>
      </c>
      <c r="M6" s="13"/>
    </row>
    <row r="7" spans="1:11" ht="18.75" customHeight="1">
      <c r="A7" s="9" t="s">
        <v>2</v>
      </c>
      <c r="B7" s="10">
        <f aca="true" t="shared" si="1" ref="B7:B15">SUM(C7:K7)</f>
        <v>9196694.71</v>
      </c>
      <c r="C7" s="10">
        <v>4026154.11</v>
      </c>
      <c r="D7" s="10">
        <v>270688.23</v>
      </c>
      <c r="E7" s="10">
        <v>665269</v>
      </c>
      <c r="F7" s="10">
        <v>643774.1899999998</v>
      </c>
      <c r="G7" s="10">
        <v>77056.10999999999</v>
      </c>
      <c r="H7" s="10">
        <v>793078.6300000001</v>
      </c>
      <c r="I7" s="10">
        <v>168383.53</v>
      </c>
      <c r="J7" s="10">
        <v>100999.40000000001</v>
      </c>
      <c r="K7" s="10">
        <v>2451291.51</v>
      </c>
    </row>
    <row r="8" spans="1:11" ht="16.5" customHeight="1">
      <c r="A8" s="9" t="s">
        <v>3</v>
      </c>
      <c r="B8" s="10">
        <f t="shared" si="1"/>
        <v>200625</v>
      </c>
      <c r="C8" s="14">
        <v>102318.75</v>
      </c>
      <c r="D8" s="14">
        <v>0</v>
      </c>
      <c r="E8" s="14">
        <v>32100</v>
      </c>
      <c r="F8" s="14">
        <v>34106.25</v>
      </c>
      <c r="G8" s="14">
        <v>32100</v>
      </c>
      <c r="H8" s="14">
        <v>0</v>
      </c>
      <c r="I8" s="14">
        <v>0</v>
      </c>
      <c r="J8" s="14">
        <v>0</v>
      </c>
      <c r="K8" s="14">
        <v>0</v>
      </c>
    </row>
    <row r="9" spans="1:11" ht="17.25" customHeight="1">
      <c r="A9" s="9" t="s">
        <v>5</v>
      </c>
      <c r="B9" s="10">
        <f t="shared" si="1"/>
        <v>879574.0199999999</v>
      </c>
      <c r="C9" s="14">
        <v>31207.25</v>
      </c>
      <c r="D9" s="14">
        <v>454</v>
      </c>
      <c r="E9" s="14">
        <v>48</v>
      </c>
      <c r="F9" s="14">
        <v>628</v>
      </c>
      <c r="G9" s="14">
        <v>670883.44</v>
      </c>
      <c r="H9" s="14">
        <v>37803.2</v>
      </c>
      <c r="I9" s="14">
        <v>895.4</v>
      </c>
      <c r="J9" s="14">
        <v>0</v>
      </c>
      <c r="K9" s="14">
        <v>137654.72999999998</v>
      </c>
    </row>
    <row r="10" spans="1:11" ht="18.75" customHeight="1">
      <c r="A10" s="9" t="s">
        <v>6</v>
      </c>
      <c r="B10" s="10">
        <f t="shared" si="1"/>
        <v>870668.97</v>
      </c>
      <c r="C10" s="14">
        <v>0</v>
      </c>
      <c r="D10" s="14">
        <v>0</v>
      </c>
      <c r="E10" s="14">
        <v>273289</v>
      </c>
      <c r="F10" s="14">
        <v>0</v>
      </c>
      <c r="G10" s="14">
        <f>2666+276383.97</f>
        <v>279049.97</v>
      </c>
      <c r="H10" s="14">
        <v>0</v>
      </c>
      <c r="I10" s="14">
        <v>0</v>
      </c>
      <c r="J10" s="14">
        <v>0</v>
      </c>
      <c r="K10" s="14">
        <v>318330</v>
      </c>
    </row>
    <row r="11" spans="1:11" ht="18.75" customHeight="1">
      <c r="A11" s="7" t="s">
        <v>7</v>
      </c>
      <c r="B11" s="10">
        <f t="shared" si="1"/>
        <v>10966717.30099</v>
      </c>
      <c r="C11" s="16">
        <v>4106315.360149</v>
      </c>
      <c r="D11" s="16">
        <v>309423.19141</v>
      </c>
      <c r="E11" s="16">
        <v>926660.324659</v>
      </c>
      <c r="F11" s="16">
        <v>697080.154561</v>
      </c>
      <c r="G11" s="16">
        <f>SUM(G12:G20)</f>
        <v>999201.431824</v>
      </c>
      <c r="H11" s="16">
        <v>836451.482465</v>
      </c>
      <c r="I11" s="16">
        <v>169279.19000000003</v>
      </c>
      <c r="J11" s="16">
        <v>96174.59530800002</v>
      </c>
      <c r="K11" s="16">
        <v>2826131.570614</v>
      </c>
    </row>
    <row r="12" spans="1:11" ht="16.5" customHeight="1">
      <c r="A12" s="9" t="s">
        <v>8</v>
      </c>
      <c r="B12" s="10">
        <f t="shared" si="1"/>
        <v>271723.20315</v>
      </c>
      <c r="C12" s="14">
        <v>165466.861665</v>
      </c>
      <c r="D12" s="14">
        <v>10916.937469999999</v>
      </c>
      <c r="E12" s="14">
        <v>20661.739495</v>
      </c>
      <c r="F12" s="14">
        <v>22241.875135000002</v>
      </c>
      <c r="G12" s="14">
        <v>0</v>
      </c>
      <c r="H12" s="14">
        <v>24469.573535000003</v>
      </c>
      <c r="I12" s="14">
        <v>0</v>
      </c>
      <c r="J12" s="14">
        <v>0</v>
      </c>
      <c r="K12" s="14">
        <v>27966.21585</v>
      </c>
    </row>
    <row r="13" spans="1:11" ht="14.25" customHeight="1">
      <c r="A13" s="9" t="s">
        <v>9</v>
      </c>
      <c r="B13" s="14">
        <f t="shared" si="1"/>
        <v>4815538.33319</v>
      </c>
      <c r="C13" s="14">
        <v>1317640.8659599999</v>
      </c>
      <c r="D13" s="14">
        <v>95916.57127999999</v>
      </c>
      <c r="E13" s="14">
        <v>227562.61337999997</v>
      </c>
      <c r="F13" s="14">
        <v>243084.70443999997</v>
      </c>
      <c r="G13" s="14">
        <v>450823.8300000001</v>
      </c>
      <c r="H13" s="14">
        <v>135368.01652999996</v>
      </c>
      <c r="I13" s="14">
        <v>154813.02000000002</v>
      </c>
      <c r="J13" s="14">
        <v>18452.4</v>
      </c>
      <c r="K13" s="14">
        <v>2171876.3116</v>
      </c>
    </row>
    <row r="14" spans="1:11" ht="19.5" customHeight="1">
      <c r="A14" s="9" t="s">
        <v>10</v>
      </c>
      <c r="B14" s="10">
        <f t="shared" si="1"/>
        <v>73515.38</v>
      </c>
      <c r="C14" s="14">
        <v>16173.561699999998</v>
      </c>
      <c r="D14" s="14">
        <v>0</v>
      </c>
      <c r="E14" s="14">
        <v>1253.0288999999998</v>
      </c>
      <c r="F14" s="14">
        <v>2035.6891</v>
      </c>
      <c r="G14" s="14">
        <v>5596.4198</v>
      </c>
      <c r="H14" s="14">
        <v>20846.374</v>
      </c>
      <c r="I14" s="14">
        <v>0</v>
      </c>
      <c r="J14" s="14">
        <v>0</v>
      </c>
      <c r="K14" s="14">
        <v>27610.3065</v>
      </c>
    </row>
    <row r="15" spans="1:11" ht="15.75" customHeight="1">
      <c r="A15" s="15" t="s">
        <v>11</v>
      </c>
      <c r="B15" s="14">
        <f t="shared" si="1"/>
        <v>4749528.11465</v>
      </c>
      <c r="C15" s="14">
        <v>2367170.480824</v>
      </c>
      <c r="D15" s="14">
        <v>199822.72266000003</v>
      </c>
      <c r="E15" s="14">
        <v>550272.692884</v>
      </c>
      <c r="F15" s="14">
        <v>332197.755886</v>
      </c>
      <c r="G15" s="14">
        <v>107647.59202400001</v>
      </c>
      <c r="H15" s="14">
        <v>606564.4184</v>
      </c>
      <c r="I15" s="14">
        <v>0</v>
      </c>
      <c r="J15" s="14">
        <v>77722.19530800001</v>
      </c>
      <c r="K15" s="14">
        <v>508130.256664</v>
      </c>
    </row>
    <row r="16" spans="1:11" ht="18" customHeight="1">
      <c r="A16" s="9" t="s">
        <v>12</v>
      </c>
      <c r="B16" s="14">
        <f>SUM(C16:K16)</f>
        <v>454536.04</v>
      </c>
      <c r="C16" s="14">
        <v>229938.2</v>
      </c>
      <c r="D16" s="14">
        <v>134.08</v>
      </c>
      <c r="E16" s="14">
        <v>69272.1</v>
      </c>
      <c r="F16" s="14">
        <v>67914.83</v>
      </c>
      <c r="G16" s="14">
        <v>58928.36</v>
      </c>
      <c r="H16" s="14">
        <v>15109.56</v>
      </c>
      <c r="I16" s="14">
        <v>0</v>
      </c>
      <c r="J16" s="14">
        <v>0</v>
      </c>
      <c r="K16" s="14">
        <v>13238.91</v>
      </c>
    </row>
    <row r="17" spans="1:11" ht="13.5" customHeight="1">
      <c r="A17" s="9" t="s">
        <v>4</v>
      </c>
      <c r="B17" s="14">
        <f>SUM(C17:K17)</f>
        <v>-75929.51000000001</v>
      </c>
      <c r="C17" s="14">
        <v>-60423.700000000004</v>
      </c>
      <c r="D17" s="14">
        <v>-1822.32</v>
      </c>
      <c r="E17" s="14">
        <v>-3416.85</v>
      </c>
      <c r="F17" s="14">
        <v>-4555.8</v>
      </c>
      <c r="G17" s="14">
        <v>0</v>
      </c>
      <c r="H17" s="14">
        <v>-5428.61</v>
      </c>
      <c r="I17" s="14">
        <v>0</v>
      </c>
      <c r="J17" s="14">
        <v>0</v>
      </c>
      <c r="K17" s="14">
        <v>-282.23</v>
      </c>
    </row>
    <row r="18" spans="1:11" ht="13.5" customHeight="1">
      <c r="A18" s="9" t="s">
        <v>67</v>
      </c>
      <c r="B18" s="14">
        <f>SUM(C18:K18)</f>
        <v>125000</v>
      </c>
      <c r="C18" s="14">
        <v>0</v>
      </c>
      <c r="D18" s="14">
        <v>0</v>
      </c>
      <c r="E18" s="14">
        <v>0</v>
      </c>
      <c r="F18" s="14">
        <v>3000</v>
      </c>
      <c r="G18" s="14">
        <v>117000</v>
      </c>
      <c r="H18" s="14">
        <v>2500</v>
      </c>
      <c r="I18" s="14">
        <v>0</v>
      </c>
      <c r="J18" s="14">
        <v>0</v>
      </c>
      <c r="K18" s="14">
        <v>2500</v>
      </c>
    </row>
    <row r="19" spans="1:11" ht="13.5" customHeight="1">
      <c r="A19" s="15" t="s">
        <v>68</v>
      </c>
      <c r="B19" s="14">
        <f>SUM(C19:K19)</f>
        <v>390500</v>
      </c>
      <c r="C19" s="14">
        <v>45000</v>
      </c>
      <c r="D19" s="14">
        <v>3700</v>
      </c>
      <c r="E19" s="14">
        <v>22600</v>
      </c>
      <c r="F19" s="14">
        <v>27300</v>
      </c>
      <c r="G19" s="14">
        <f>71500+160000</f>
        <v>231500</v>
      </c>
      <c r="H19" s="14">
        <v>35800</v>
      </c>
      <c r="I19" s="14">
        <v>0</v>
      </c>
      <c r="J19" s="14">
        <v>0</v>
      </c>
      <c r="K19" s="14">
        <v>24600</v>
      </c>
    </row>
    <row r="20" spans="1:11" ht="13.5" customHeight="1">
      <c r="A20" s="15" t="s">
        <v>13</v>
      </c>
      <c r="B20" s="14">
        <f>SUM(C20:K20)</f>
        <v>162305.74</v>
      </c>
      <c r="C20" s="14">
        <v>25349.09</v>
      </c>
      <c r="D20" s="14">
        <v>755.2</v>
      </c>
      <c r="E20" s="14">
        <v>38455</v>
      </c>
      <c r="F20" s="14">
        <v>3861.1</v>
      </c>
      <c r="G20" s="14">
        <v>27705.23</v>
      </c>
      <c r="H20" s="14">
        <v>1222.15</v>
      </c>
      <c r="I20" s="14">
        <v>14466.17</v>
      </c>
      <c r="J20" s="14">
        <v>0</v>
      </c>
      <c r="K20" s="14">
        <v>50491.8</v>
      </c>
    </row>
    <row r="21" spans="1:11" ht="34.5" customHeight="1">
      <c r="A21" s="11" t="s">
        <v>21</v>
      </c>
      <c r="B21" s="20">
        <f>B6-B11+2</f>
        <v>180847.3990099989</v>
      </c>
      <c r="C21" s="20">
        <f aca="true" t="shared" si="2" ref="C21:K21">C6-C11</f>
        <v>53364.74985100003</v>
      </c>
      <c r="D21" s="20">
        <f t="shared" si="2"/>
        <v>-38280.96141000005</v>
      </c>
      <c r="E21" s="20">
        <f t="shared" si="2"/>
        <v>44045.675340999966</v>
      </c>
      <c r="F21" s="20">
        <f t="shared" si="2"/>
        <v>-18571.714561000117</v>
      </c>
      <c r="G21" s="20">
        <f t="shared" si="2"/>
        <v>59888.08817600005</v>
      </c>
      <c r="H21" s="20">
        <f t="shared" si="2"/>
        <v>-5569.652464999934</v>
      </c>
      <c r="I21" s="28">
        <f t="shared" si="2"/>
        <v>-0.26000000003841706</v>
      </c>
      <c r="J21" s="20">
        <f t="shared" si="2"/>
        <v>4824.804691999991</v>
      </c>
      <c r="K21" s="20">
        <f t="shared" si="2"/>
        <v>81144.6693859999</v>
      </c>
    </row>
    <row r="22" spans="1:11" ht="21" customHeight="1">
      <c r="A22" s="7" t="s">
        <v>14</v>
      </c>
      <c r="B22" s="8">
        <f aca="true" t="shared" si="3" ref="B22:B28">SUM(C22:K22)</f>
        <v>73917.83</v>
      </c>
      <c r="C22" s="8">
        <v>40122.378</v>
      </c>
      <c r="D22" s="8">
        <v>492.74699999999996</v>
      </c>
      <c r="E22" s="8">
        <v>14433.991</v>
      </c>
      <c r="F22" s="8">
        <v>14433.991</v>
      </c>
      <c r="G22" s="8">
        <v>0</v>
      </c>
      <c r="H22" s="8">
        <v>1231.8675</v>
      </c>
      <c r="I22" s="8">
        <v>0</v>
      </c>
      <c r="J22" s="8">
        <v>0</v>
      </c>
      <c r="K22" s="8">
        <v>3202.8555</v>
      </c>
    </row>
    <row r="23" spans="1:11" ht="12.75">
      <c r="A23" s="9" t="s">
        <v>15</v>
      </c>
      <c r="B23" s="10">
        <f t="shared" si="3"/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2.75">
      <c r="A24" s="9" t="s">
        <v>16</v>
      </c>
      <c r="B24" s="14">
        <f t="shared" si="3"/>
        <v>73917.83</v>
      </c>
      <c r="C24" s="14">
        <v>40122.378</v>
      </c>
      <c r="D24" s="14">
        <v>492.74699999999996</v>
      </c>
      <c r="E24" s="14">
        <v>14433.991</v>
      </c>
      <c r="F24" s="14">
        <v>14433.991</v>
      </c>
      <c r="G24" s="14">
        <v>0</v>
      </c>
      <c r="H24" s="14">
        <v>1231.8675</v>
      </c>
      <c r="I24" s="14">
        <v>0</v>
      </c>
      <c r="J24" s="14">
        <v>0</v>
      </c>
      <c r="K24" s="14">
        <v>3202.8555</v>
      </c>
    </row>
    <row r="25" spans="1:11" ht="18.75" customHeight="1">
      <c r="A25" s="7" t="s">
        <v>17</v>
      </c>
      <c r="B25" s="16">
        <f t="shared" si="3"/>
        <v>33334.36</v>
      </c>
      <c r="C25" s="16">
        <f aca="true" t="shared" si="4" ref="C25:K25">C26</f>
        <v>20000</v>
      </c>
      <c r="D25" s="16">
        <f t="shared" si="4"/>
        <v>0</v>
      </c>
      <c r="E25" s="16">
        <f t="shared" si="4"/>
        <v>6214.36</v>
      </c>
      <c r="F25" s="16">
        <f t="shared" si="4"/>
        <v>0</v>
      </c>
      <c r="G25" s="16">
        <f t="shared" si="4"/>
        <v>5620</v>
      </c>
      <c r="H25" s="16">
        <f t="shared" si="4"/>
        <v>1500</v>
      </c>
      <c r="I25" s="16">
        <f t="shared" si="4"/>
        <v>0</v>
      </c>
      <c r="J25" s="16">
        <f t="shared" si="4"/>
        <v>0</v>
      </c>
      <c r="K25" s="16">
        <f t="shared" si="4"/>
        <v>0</v>
      </c>
    </row>
    <row r="26" spans="1:11" ht="12.75">
      <c r="A26" s="9" t="s">
        <v>18</v>
      </c>
      <c r="B26" s="14">
        <f t="shared" si="3"/>
        <v>33334.36</v>
      </c>
      <c r="C26" s="14">
        <v>20000</v>
      </c>
      <c r="D26" s="14">
        <v>0</v>
      </c>
      <c r="E26" s="14">
        <v>6214.36</v>
      </c>
      <c r="F26" s="14">
        <v>0</v>
      </c>
      <c r="G26" s="14">
        <v>5620</v>
      </c>
      <c r="H26" s="14">
        <v>1500</v>
      </c>
      <c r="I26" s="14">
        <v>0</v>
      </c>
      <c r="J26" s="14">
        <v>0</v>
      </c>
      <c r="K26" s="14">
        <v>0</v>
      </c>
    </row>
    <row r="27" spans="1:11" ht="16.5" customHeight="1">
      <c r="A27" s="7" t="s">
        <v>19</v>
      </c>
      <c r="B27" s="8">
        <f t="shared" si="3"/>
        <v>299227.07</v>
      </c>
      <c r="C27" s="16">
        <v>152127.88</v>
      </c>
      <c r="D27" s="16">
        <v>11973.32</v>
      </c>
      <c r="E27" s="16">
        <v>35825.74</v>
      </c>
      <c r="F27" s="16">
        <v>20521.47</v>
      </c>
      <c r="G27" s="16">
        <v>1314.27</v>
      </c>
      <c r="H27" s="16">
        <v>39175.08</v>
      </c>
      <c r="I27" s="16">
        <v>0</v>
      </c>
      <c r="J27" s="16">
        <v>4824.96</v>
      </c>
      <c r="K27" s="16">
        <v>33464.35</v>
      </c>
    </row>
    <row r="28" spans="1:11" ht="18" customHeight="1">
      <c r="A28" s="9" t="s">
        <v>20</v>
      </c>
      <c r="B28" s="10">
        <f t="shared" si="3"/>
        <v>299227.07</v>
      </c>
      <c r="C28" s="14">
        <v>152127.88</v>
      </c>
      <c r="D28" s="14">
        <v>11973.32</v>
      </c>
      <c r="E28" s="14">
        <v>35825.74</v>
      </c>
      <c r="F28" s="14">
        <v>20521.47</v>
      </c>
      <c r="G28" s="14">
        <v>1314.27</v>
      </c>
      <c r="H28" s="14">
        <v>39175.08</v>
      </c>
      <c r="I28" s="14">
        <v>0</v>
      </c>
      <c r="J28" s="14">
        <v>4824.96</v>
      </c>
      <c r="K28" s="14">
        <v>33464.35</v>
      </c>
    </row>
    <row r="29" spans="1:15" ht="24.75" customHeight="1">
      <c r="A29" s="12" t="s">
        <v>31</v>
      </c>
      <c r="B29" s="19">
        <f>B6-B11-B22+B25-B27+1</f>
        <v>-158964.14099000112</v>
      </c>
      <c r="C29" s="19">
        <f aca="true" t="shared" si="5" ref="C29:K29">C6-C11-C22+C25-C27</f>
        <v>-118885.50814899997</v>
      </c>
      <c r="D29" s="19">
        <f t="shared" si="5"/>
        <v>-50747.02841000005</v>
      </c>
      <c r="E29" s="19">
        <f t="shared" si="5"/>
        <v>0.3043409999663709</v>
      </c>
      <c r="F29" s="19">
        <f t="shared" si="5"/>
        <v>-53527.17556100012</v>
      </c>
      <c r="G29" s="19">
        <f t="shared" si="5"/>
        <v>64193.81817600005</v>
      </c>
      <c r="H29" s="19">
        <f t="shared" si="5"/>
        <v>-44476.599964999936</v>
      </c>
      <c r="I29" s="27">
        <f t="shared" si="5"/>
        <v>-0.26000000003841706</v>
      </c>
      <c r="J29" s="27">
        <f t="shared" si="5"/>
        <v>-0.1553080000094269</v>
      </c>
      <c r="K29" s="19">
        <f t="shared" si="5"/>
        <v>44477.4638859999</v>
      </c>
      <c r="L29" s="4"/>
      <c r="M29" s="18"/>
      <c r="O29" s="13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P30" s="17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21"/>
      <c r="D32" s="13"/>
      <c r="E32" s="13"/>
      <c r="F32" s="13"/>
      <c r="G32" s="13"/>
      <c r="H32" s="13"/>
      <c r="I32" s="13"/>
      <c r="J32" s="21"/>
      <c r="K32" s="13"/>
    </row>
    <row r="33" spans="1:11" ht="12.75">
      <c r="A33" s="13"/>
      <c r="B33" s="13"/>
      <c r="C33" s="21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21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29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ht="12.75">
      <c r="A37" s="26"/>
    </row>
    <row r="38" spans="1:7" ht="12.75">
      <c r="A38" s="29"/>
      <c r="G38" s="13"/>
    </row>
    <row r="39" spans="1:7" ht="12.75">
      <c r="A39" s="30"/>
      <c r="G39" s="13"/>
    </row>
    <row r="40" spans="1:7" ht="12.75">
      <c r="A40" s="26"/>
      <c r="G40" s="13"/>
    </row>
    <row r="41" ht="12.75">
      <c r="G41" s="13"/>
    </row>
    <row r="44" spans="2:10" ht="12.75">
      <c r="B44" s="3"/>
      <c r="C44" s="5"/>
      <c r="D44" s="5"/>
      <c r="E44" s="5"/>
      <c r="F44" s="5"/>
      <c r="G44" s="5"/>
      <c r="H44" s="5"/>
      <c r="I44" s="5"/>
      <c r="J44" s="5"/>
    </row>
  </sheetData>
  <sheetProtection/>
  <mergeCells count="2">
    <mergeCell ref="A4:B4"/>
    <mergeCell ref="C4:G4"/>
  </mergeCells>
  <printOptions gridLines="1"/>
  <pageMargins left="0.7480314960629921" right="0.7480314960629921" top="0.984251968503937" bottom="0.984251968503937" header="0.5118110236220472" footer="0.5118110236220472"/>
  <pageSetup errors="blank" fitToHeight="0"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J20" sqref="J20"/>
    </sheetView>
  </sheetViews>
  <sheetFormatPr defaultColWidth="9.140625" defaultRowHeight="12.75"/>
  <cols>
    <col min="1" max="1" width="35.00390625" style="0" customWidth="1"/>
    <col min="2" max="2" width="15.140625" style="0" customWidth="1"/>
    <col min="3" max="3" width="13.421875" style="0" customWidth="1"/>
    <col min="4" max="4" width="14.8515625" style="0" customWidth="1"/>
    <col min="5" max="5" width="17.8515625" style="0" customWidth="1"/>
    <col min="6" max="6" width="18.8515625" style="0" customWidth="1"/>
    <col min="7" max="7" width="18.140625" style="0" customWidth="1"/>
    <col min="8" max="8" width="18.421875" style="0" customWidth="1"/>
    <col min="9" max="9" width="18.28125" style="0" customWidth="1"/>
    <col min="10" max="10" width="20.00390625" style="0" customWidth="1"/>
  </cols>
  <sheetData>
    <row r="1" spans="1:9" ht="12.75">
      <c r="A1" t="s">
        <v>33</v>
      </c>
      <c r="B1" s="22" t="s">
        <v>43</v>
      </c>
      <c r="C1" s="22" t="s">
        <v>44</v>
      </c>
      <c r="D1" s="22" t="s">
        <v>45</v>
      </c>
      <c r="E1" s="22" t="s">
        <v>46</v>
      </c>
      <c r="F1" s="23" t="s">
        <v>48</v>
      </c>
      <c r="G1" s="22" t="s">
        <v>27</v>
      </c>
      <c r="H1" s="22" t="s">
        <v>47</v>
      </c>
      <c r="I1" s="23" t="s">
        <v>49</v>
      </c>
    </row>
    <row r="3" spans="1:9" ht="12.75">
      <c r="A3" t="s">
        <v>34</v>
      </c>
      <c r="B3" s="3">
        <v>1267.11</v>
      </c>
      <c r="C3" s="3">
        <v>0</v>
      </c>
      <c r="D3" s="3">
        <v>0</v>
      </c>
      <c r="E3" s="3">
        <v>0</v>
      </c>
      <c r="F3" s="3">
        <v>0</v>
      </c>
      <c r="G3" s="3">
        <v>144.2</v>
      </c>
      <c r="H3" s="3">
        <f>27.27+51.06+159.99+58.07</f>
        <v>296.39</v>
      </c>
      <c r="I3" s="3">
        <f aca="true" t="shared" si="0" ref="I3:I11">SUM(B3:H3)</f>
        <v>1707.6999999999998</v>
      </c>
    </row>
    <row r="4" spans="1:9" ht="12.75">
      <c r="A4" t="s">
        <v>35</v>
      </c>
      <c r="B4" s="3">
        <f>11167.53+6390.63+698.09+334.21+337.44+589.58+292.26</f>
        <v>19809.739999999998</v>
      </c>
      <c r="C4" s="3">
        <v>0</v>
      </c>
      <c r="D4" s="3">
        <f>746.55+2792.88</f>
        <v>3539.4300000000003</v>
      </c>
      <c r="E4" s="3">
        <f>298.18+37.91</f>
        <v>336.09000000000003</v>
      </c>
      <c r="F4" s="3">
        <f>51.24+2536.21</f>
        <v>2587.45</v>
      </c>
      <c r="G4" s="3">
        <f>160+628.93+141.63</f>
        <v>930.56</v>
      </c>
      <c r="H4" s="3">
        <f>104.97+339.02</f>
        <v>443.99</v>
      </c>
      <c r="I4" s="3">
        <f t="shared" si="0"/>
        <v>27647.260000000002</v>
      </c>
    </row>
    <row r="5" spans="1:9" ht="12.75">
      <c r="A5" t="s">
        <v>36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9790</v>
      </c>
      <c r="H5" s="3">
        <v>0</v>
      </c>
      <c r="I5" s="3">
        <f t="shared" si="0"/>
        <v>9790</v>
      </c>
    </row>
    <row r="6" spans="1:9" ht="12.75">
      <c r="A6" t="s">
        <v>37</v>
      </c>
      <c r="B6" s="3">
        <f>419.51+166.65+6746.81+2910.18+112.43+219.65+161.26+972.05+63933.48+4169.33</f>
        <v>79811.35</v>
      </c>
      <c r="C6" s="3">
        <v>0</v>
      </c>
      <c r="D6" s="3">
        <f>5397.59+46239.32</f>
        <v>51636.91</v>
      </c>
      <c r="E6" s="3">
        <f>2610.16+46239.32</f>
        <v>48849.479999999996</v>
      </c>
      <c r="F6" s="3">
        <f>1202.35+46239.33</f>
        <v>47441.68</v>
      </c>
      <c r="G6" s="3"/>
      <c r="H6" s="3"/>
      <c r="I6" s="3">
        <f t="shared" si="0"/>
        <v>227739.41999999998</v>
      </c>
    </row>
    <row r="7" spans="1:11" ht="12.75">
      <c r="A7" t="s">
        <v>38</v>
      </c>
      <c r="B7" s="3">
        <f>418.89+22792.12+18856.41+452.13+14.58+4.56+2515.12+67.1+46733.33</f>
        <v>91854.23999999999</v>
      </c>
      <c r="C7" s="3"/>
      <c r="D7" s="3">
        <f>5195.63+1054.51+21.37</f>
        <v>6271.51</v>
      </c>
      <c r="E7" s="24">
        <f>102.61+460.72+3284.8+5195.63</f>
        <v>9043.76</v>
      </c>
      <c r="F7" s="3">
        <f>191.89+5195.63+434.62</f>
        <v>5822.14</v>
      </c>
      <c r="G7" s="24">
        <f>66.25+18.12+27.51</f>
        <v>111.88000000000001</v>
      </c>
      <c r="H7" s="24">
        <f>319.63+114.68+35.38+51.25+331.5+17.23</f>
        <v>869.6700000000001</v>
      </c>
      <c r="I7" s="3">
        <f t="shared" si="0"/>
        <v>113973.19999999998</v>
      </c>
      <c r="K7" s="3"/>
    </row>
    <row r="8" spans="1:9" ht="12.75">
      <c r="A8" t="s">
        <v>39</v>
      </c>
      <c r="B8" s="3">
        <f>2017.65+8.55</f>
        <v>2026.2</v>
      </c>
      <c r="C8" s="3">
        <v>71.89</v>
      </c>
      <c r="D8" s="3">
        <f>321.82+136.54+2847.37</f>
        <v>3305.73</v>
      </c>
      <c r="E8" s="3">
        <f>161.47+47.99</f>
        <v>209.46</v>
      </c>
      <c r="F8" s="3">
        <v>166.87</v>
      </c>
      <c r="G8" s="3">
        <f>523.73+636.13</f>
        <v>1159.8600000000001</v>
      </c>
      <c r="H8" s="3">
        <f>636.52+1886.76+342.65</f>
        <v>2865.93</v>
      </c>
      <c r="I8" s="3">
        <f t="shared" si="0"/>
        <v>9805.94</v>
      </c>
    </row>
    <row r="9" spans="1:9" ht="12.75">
      <c r="A9" t="s">
        <v>40</v>
      </c>
      <c r="B9" s="3">
        <f>444.08+8.25+812.83+248.76+471.92+264.44+234.97+488.14+165.17+274.89+450+27342.37</f>
        <v>31205.82</v>
      </c>
      <c r="C9" s="3">
        <v>62.19</v>
      </c>
      <c r="D9" s="3">
        <f>2116.23+519.24</f>
        <v>2635.4700000000003</v>
      </c>
      <c r="E9" s="3">
        <f>44.5+7615.6</f>
        <v>7660.1</v>
      </c>
      <c r="F9" s="3">
        <f>699.18+115.97+1728.57</f>
        <v>2543.72</v>
      </c>
      <c r="G9" s="24">
        <f>565.25+609.8</f>
        <v>1175.05</v>
      </c>
      <c r="H9" s="3">
        <f>62.22+50.97+20.17+4361.49</f>
        <v>4494.849999999999</v>
      </c>
      <c r="I9" s="3">
        <f t="shared" si="0"/>
        <v>49777.2</v>
      </c>
    </row>
    <row r="10" spans="1:9" ht="12.75">
      <c r="A10" t="s">
        <v>41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</row>
    <row r="11" spans="1:9" ht="12.75">
      <c r="A11" t="s">
        <v>42</v>
      </c>
      <c r="B11" s="3">
        <f>449.41+4000-485.67</f>
        <v>3963.74</v>
      </c>
      <c r="C11" s="3"/>
      <c r="D11" s="3">
        <f>383.05+1500</f>
        <v>1883.05</v>
      </c>
      <c r="E11" s="3">
        <f>315.94+1500</f>
        <v>1815.94</v>
      </c>
      <c r="F11" s="3">
        <f>21.83+66.39+71.95+206.23</f>
        <v>366.4</v>
      </c>
      <c r="G11" s="3">
        <f>279.95+591.05+177.01+750</f>
        <v>1798.01</v>
      </c>
      <c r="H11" s="3">
        <f>311+2995.55+211.53+750</f>
        <v>4268.08</v>
      </c>
      <c r="I11" s="3">
        <f t="shared" si="0"/>
        <v>14095.22</v>
      </c>
    </row>
    <row r="13" spans="2:9" ht="12.75">
      <c r="B13" s="3">
        <f>SUM(B3:B12)</f>
        <v>229938.2</v>
      </c>
      <c r="C13" s="3">
        <f aca="true" t="shared" si="1" ref="C13:H13">SUM(C3:C12)</f>
        <v>134.07999999999998</v>
      </c>
      <c r="D13" s="3">
        <f t="shared" si="1"/>
        <v>69272.1</v>
      </c>
      <c r="E13" s="3">
        <f t="shared" si="1"/>
        <v>67914.83</v>
      </c>
      <c r="F13" s="3">
        <f t="shared" si="1"/>
        <v>58928.26</v>
      </c>
      <c r="G13" s="3">
        <f t="shared" si="1"/>
        <v>15109.56</v>
      </c>
      <c r="H13" s="3">
        <f t="shared" si="1"/>
        <v>13238.909999999998</v>
      </c>
      <c r="I13" s="3">
        <f>SUM(B13:H13)</f>
        <v>454535.94</v>
      </c>
    </row>
  </sheetData>
  <sheetProtection/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8.421875" style="0" customWidth="1"/>
    <col min="2" max="2" width="13.421875" style="0" customWidth="1"/>
    <col min="3" max="3" width="10.7109375" style="0" customWidth="1"/>
    <col min="4" max="4" width="15.140625" style="0" customWidth="1"/>
    <col min="5" max="5" width="18.7109375" style="0" customWidth="1"/>
    <col min="6" max="6" width="13.8515625" style="0" customWidth="1"/>
    <col min="7" max="7" width="19.57421875" style="0" customWidth="1"/>
    <col min="8" max="8" width="17.57421875" style="0" customWidth="1"/>
    <col min="9" max="9" width="17.00390625" style="0" customWidth="1"/>
    <col min="10" max="10" width="13.28125" style="0" customWidth="1"/>
    <col min="11" max="11" width="18.8515625" style="0" customWidth="1"/>
  </cols>
  <sheetData>
    <row r="1" spans="1:15" ht="12.75">
      <c r="A1" t="s">
        <v>50</v>
      </c>
      <c r="B1" s="22" t="s">
        <v>43</v>
      </c>
      <c r="C1" s="23" t="s">
        <v>44</v>
      </c>
      <c r="D1" s="23" t="s">
        <v>45</v>
      </c>
      <c r="E1" s="23" t="s">
        <v>46</v>
      </c>
      <c r="F1" s="23" t="s">
        <v>27</v>
      </c>
      <c r="G1" s="23" t="s">
        <v>52</v>
      </c>
      <c r="H1" s="23" t="s">
        <v>53</v>
      </c>
      <c r="I1" s="23" t="s">
        <v>47</v>
      </c>
      <c r="J1" s="23" t="s">
        <v>26</v>
      </c>
      <c r="K1" s="23" t="s">
        <v>49</v>
      </c>
      <c r="O1" t="s">
        <v>65</v>
      </c>
    </row>
    <row r="3" spans="1:13" ht="12.75">
      <c r="A3" t="s">
        <v>51</v>
      </c>
      <c r="B3" s="3">
        <f>30051.58+2181.75+1683.66+1746.49+7753.06+486.92+63.67+42.89</f>
        <v>44010.02</v>
      </c>
      <c r="C3" s="3">
        <f>4950.01+117.22+223.2</f>
        <v>5290.43</v>
      </c>
      <c r="D3" s="3">
        <f>3975.63+229.91+489.51+175.41+3395.47+32.65+9.92</f>
        <v>8308.5</v>
      </c>
      <c r="E3" s="3">
        <f>4358.48+275.88+362.36+65.47+30.33</f>
        <v>5092.5199999999995</v>
      </c>
      <c r="F3" s="3">
        <f>3201.68+5255.47+586.59+459.76+341.68+84.05+105.98+39.42+4.75+5.99+65.45</f>
        <v>10150.82</v>
      </c>
      <c r="G3" s="3">
        <v>0</v>
      </c>
      <c r="H3" s="3">
        <f>549.61+31.04</f>
        <v>580.65</v>
      </c>
      <c r="I3" s="3">
        <f>3585.59+1012+1662.47+366.85-646.2+47.86+18.6</f>
        <v>6047.170000000001</v>
      </c>
      <c r="J3" s="3">
        <f>549.61+1671.53+23.93</f>
        <v>2245.0699999999997</v>
      </c>
      <c r="K3" s="3">
        <f>SUM(B3:J3)</f>
        <v>81725.18</v>
      </c>
      <c r="M3">
        <f>50.19+83.46+163.91</f>
        <v>297.55999999999995</v>
      </c>
    </row>
    <row r="4" spans="1:13" ht="12.75">
      <c r="A4" t="s">
        <v>54</v>
      </c>
      <c r="B4" s="3">
        <f>30655.32+2068.72+1686.45+1764.92+7800.95+510.73+61.82+42.86</f>
        <v>44591.77</v>
      </c>
      <c r="C4" s="3">
        <f>4941.5+113.8+224.39</f>
        <v>5279.6900000000005</v>
      </c>
      <c r="D4" s="3">
        <f>4120.21+218.28+445.91+175.41+3789.87+31.88+9.92</f>
        <v>8791.48</v>
      </c>
      <c r="E4" s="3">
        <f>4515.44+261.91+368.32+71.72+31.48</f>
        <v>5248.869999999999</v>
      </c>
      <c r="F4" s="3">
        <f>3048.79+5698.68+586.59+436.47+345.15+84.05+105.98+71.77+41.41+6.58+4.75+5.99</f>
        <v>10436.21</v>
      </c>
      <c r="G4" s="3">
        <v>0</v>
      </c>
      <c r="H4" s="3">
        <f>1064.74+60.04</f>
        <v>1124.78</v>
      </c>
      <c r="I4" s="3">
        <f>3431.24+1012.71+1594.93+370.33-703.27+43.03+18.6</f>
        <v>5767.570000000001</v>
      </c>
      <c r="J4" s="3">
        <f>549.61+1722.34+21.52</f>
        <v>2293.47</v>
      </c>
      <c r="K4" s="3">
        <f aca="true" t="shared" si="0" ref="K4:K16">SUM(B4:J4)</f>
        <v>83533.84</v>
      </c>
      <c r="M4">
        <f>-466+111.32</f>
        <v>-354.68</v>
      </c>
    </row>
    <row r="5" spans="1:13" ht="12.75">
      <c r="A5" s="17" t="s">
        <v>55</v>
      </c>
      <c r="B5" s="3">
        <f>30186.97+2067.97+1646.2+1786.87+7494.22+516.86+99.77+42.86</f>
        <v>43841.72</v>
      </c>
      <c r="C5" s="3">
        <f>4136.43+113.75+182.84</f>
        <v>4433.02</v>
      </c>
      <c r="D5" s="3">
        <f>3937.42+218.2+440.19+175.41+3564.95+32.65+9.92</f>
        <v>8378.739999999998</v>
      </c>
      <c r="E5" s="3">
        <f>4456.86+58.54+261.81+354.42+68.25+29.12</f>
        <v>5229</v>
      </c>
      <c r="F5" s="3">
        <f>2775.08+5728.76+591.84+436.3+331.98+84.05+105.98+68.27+45.69+14.46+4.75+5.99</f>
        <v>10193.149999999998</v>
      </c>
      <c r="G5" s="3">
        <v>0</v>
      </c>
      <c r="H5" s="3">
        <f>1101.72+61.98</f>
        <v>1163.7</v>
      </c>
      <c r="I5" s="3">
        <f>3494.98+979.37+1594.47+362.82-653.24+42.62+18.6</f>
        <v>5839.620000000001</v>
      </c>
      <c r="J5" s="3">
        <f>549.61+1648.6+21.31</f>
        <v>2219.52</v>
      </c>
      <c r="K5" s="3">
        <f t="shared" si="0"/>
        <v>81298.47</v>
      </c>
      <c r="M5">
        <v>108.57</v>
      </c>
    </row>
    <row r="6" spans="1:13" ht="12.75">
      <c r="A6" s="17" t="s">
        <v>56</v>
      </c>
      <c r="B6" s="3">
        <f>31092.3+2072.11+1666.99+1738.36+8978.33+585.33+163.59+40.98+6.65</f>
        <v>46344.64</v>
      </c>
      <c r="C6" s="3">
        <f>3999.2+113.96+181.46</f>
        <v>4294.62</v>
      </c>
      <c r="D6" s="3">
        <f>3944.77+218.63+441.3+4212.68+31.33+36.32+9.89</f>
        <v>8894.92</v>
      </c>
      <c r="E6" s="3">
        <f>6081.11+262.33+358.73+175.5+68.32+71.25+437.2</f>
        <v>7454.44</v>
      </c>
      <c r="F6" s="3">
        <f>2100.56+5793.81+589.22+335.96+117.82+106.04+68.33+39.78+7.32+5.98</f>
        <v>9164.82</v>
      </c>
      <c r="G6" s="3">
        <v>0</v>
      </c>
      <c r="H6" s="3">
        <f>1101.72+61.98</f>
        <v>1163.7</v>
      </c>
      <c r="I6" s="3">
        <f>3492.55+760.82+1596.99+363.95-652.59+42.62+18.6</f>
        <v>5622.94</v>
      </c>
      <c r="J6" s="3">
        <f>549.61+1657.76+21.31</f>
        <v>2228.68</v>
      </c>
      <c r="K6" s="3">
        <f t="shared" si="0"/>
        <v>85168.76</v>
      </c>
      <c r="M6">
        <v>108.57</v>
      </c>
    </row>
    <row r="7" spans="1:13" ht="12.75">
      <c r="A7" s="17" t="s">
        <v>57</v>
      </c>
      <c r="B7" s="3">
        <f>31076.23+2073.69+1695.17+1724.84+7581.72+566.36+138.79+41.05</f>
        <v>44897.85</v>
      </c>
      <c r="C7" s="3">
        <f>4519.68+114.12+206.84</f>
        <v>4840.64</v>
      </c>
      <c r="D7" s="3">
        <f>4153.21+218.81+175.41+3955.79+37.82+39.25+9.92</f>
        <v>8590.210000000001</v>
      </c>
      <c r="E7" s="3">
        <f>5460.53+262.54+457.32+368.29+53.83+88.54</f>
        <v>6691.049999999999</v>
      </c>
      <c r="F7" s="3">
        <f>6768.12+1928.55+586.59+437.48+345.29+116.68+105.98+53.85+41.8+6.59+5.99</f>
        <v>10396.92</v>
      </c>
      <c r="G7" s="3">
        <v>0</v>
      </c>
      <c r="H7" s="3">
        <f>1101.08+62.08</f>
        <v>1163.1599999999999</v>
      </c>
      <c r="I7" s="3">
        <f>3491.81+1032.17+1598+370.97-689.92+44.32+18.6</f>
        <v>5865.95</v>
      </c>
      <c r="J7" s="3">
        <f>549.61+1717.96+22.16</f>
        <v>2289.73</v>
      </c>
      <c r="K7" s="3">
        <f t="shared" si="0"/>
        <v>84735.51</v>
      </c>
      <c r="M7">
        <v>108.57</v>
      </c>
    </row>
    <row r="8" spans="1:13" ht="12.75">
      <c r="A8" s="17" t="s">
        <v>58</v>
      </c>
      <c r="B8" s="3">
        <f>30965.69+2066.23+1641.96+1747.19+7366.53+582.39+153.24+42.76</f>
        <v>44565.99</v>
      </c>
      <c r="C8" s="3">
        <f>4546.42+113.64+207.14</f>
        <v>4867.200000000001</v>
      </c>
      <c r="D8" s="3">
        <f>4499.98+218.01+452.93+175.41+4413.25+62.19+39.06+9.92</f>
        <v>9870.75</v>
      </c>
      <c r="E8" s="3">
        <f>4898.01+261.59+356.95+51.13+58.54+61.5</f>
        <v>5687.72</v>
      </c>
      <c r="F8" s="3">
        <f>6081.83+2854.23+586.59+435.94+333.36+84.05+105.98+51.15+4.75+5.99</f>
        <v>10543.869999999999</v>
      </c>
      <c r="G8" s="3">
        <v>0</v>
      </c>
      <c r="H8" s="3">
        <f>1101.08+62.08</f>
        <v>1163.1599999999999</v>
      </c>
      <c r="I8" s="3">
        <f>3491.81+1012+1593.4+356.1-660.82+44.15+18.6</f>
        <v>5855.24</v>
      </c>
      <c r="J8" s="3">
        <f>549.61+1627.88+22.08</f>
        <v>2199.57</v>
      </c>
      <c r="K8" s="3">
        <f t="shared" si="0"/>
        <v>84753.50000000001</v>
      </c>
      <c r="M8">
        <v>108.57</v>
      </c>
    </row>
    <row r="9" spans="1:13" ht="12.75">
      <c r="A9" s="17" t="s">
        <v>59</v>
      </c>
      <c r="B9" s="3">
        <f>30986.7+2067.28+1610.82+1699.67+7869.7+420.73+121.98+37.94</f>
        <v>44814.82000000001</v>
      </c>
      <c r="C9" s="3">
        <f>3479.45+113.71+149.03</f>
        <v>3742.19</v>
      </c>
      <c r="D9" s="3">
        <f>4751.53+218.12+432.34+175.45+52.46+46.34+9.91+4777.4</f>
        <v>10463.55</v>
      </c>
      <c r="E9" s="3">
        <f>5161.31+261.73+362.13+62.59+53.19+58.04+0.23</f>
        <v>5959.22</v>
      </c>
      <c r="F9" s="3">
        <f>2950.07+6439.87+525.26+436.15+336.83+84.07+106+62.6+0.23+4.75+5.98</f>
        <v>10951.81</v>
      </c>
      <c r="G9" s="3">
        <v>0</v>
      </c>
      <c r="H9" s="3">
        <f>1101.08+62.08</f>
        <v>1163.1599999999999</v>
      </c>
      <c r="I9" s="3">
        <f>4208.27+1011.99+1594.04+349.21-730.94+41.94+40.27+18.6</f>
        <v>6533.38</v>
      </c>
      <c r="J9" s="3">
        <f>549.61+1642.71+20.96</f>
        <v>2213.28</v>
      </c>
      <c r="K9" s="3">
        <f t="shared" si="0"/>
        <v>85841.41000000002</v>
      </c>
      <c r="M9">
        <v>108.57</v>
      </c>
    </row>
    <row r="10" spans="1:13" ht="12.75">
      <c r="A10" s="17" t="s">
        <v>60</v>
      </c>
      <c r="B10" s="3">
        <f>2067.63+1624.23+1493.48+21741.5+4965.22+77.31+28.59+2.97</f>
        <v>32000.930000000004</v>
      </c>
      <c r="C10" s="3">
        <f>113.73+1003.58+2.05</f>
        <v>1119.36</v>
      </c>
      <c r="D10" s="3">
        <f>218.16+431.73+175.55+3281.29+4129.56+1.21+9.88+37.69</f>
        <v>8285.07</v>
      </c>
      <c r="E10" s="3">
        <f>261.77+354.47+3762.67+49.63+0.35</f>
        <v>4428.89</v>
      </c>
      <c r="F10" s="3">
        <f>436.22+328.2+84.12+106.07+2931.65+5285.1+525.26+49.65+29.24+4.74+5.97</f>
        <v>9786.22</v>
      </c>
      <c r="G10" s="3">
        <v>0</v>
      </c>
      <c r="H10" s="3">
        <f>1607.08+90.67</f>
        <v>1697.75</v>
      </c>
      <c r="I10" s="3">
        <f>1594.34+331.86-615.5+41.79+4045.11+1012+31.04+18.58</f>
        <v>6459.22</v>
      </c>
      <c r="J10" s="3">
        <f>1500.06+20.9+549.61</f>
        <v>2070.57</v>
      </c>
      <c r="K10" s="3">
        <f t="shared" si="0"/>
        <v>65848.01000000001</v>
      </c>
      <c r="M10">
        <v>108.57</v>
      </c>
    </row>
    <row r="11" spans="1:13" ht="12.75">
      <c r="A11" s="17" t="s">
        <v>61</v>
      </c>
      <c r="B11" s="3">
        <f>2066.93+1457.35+1863.36+21260.66+4721.25+28.53+49.15</f>
        <v>31447.23</v>
      </c>
      <c r="C11" s="3">
        <f>113.69+978.35</f>
        <v>1092.04</v>
      </c>
      <c r="D11" s="3">
        <f>218.09+441.6+175.41+3376.38+4231.12+9.92+33.15</f>
        <v>8485.67</v>
      </c>
      <c r="E11" s="3">
        <f>261.68+324.14+4138.36+48.86+11.41+19.7</f>
        <v>4804.149999999999</v>
      </c>
      <c r="F11" s="3">
        <f>436.07+302.56+84.05+105.98+3111.23+5161.33+525.26+48.88+4.75+5.99</f>
        <v>9786.099999999999</v>
      </c>
      <c r="G11" s="3">
        <v>0</v>
      </c>
      <c r="H11" s="3">
        <f>1607.08+90.67</f>
        <v>1697.75</v>
      </c>
      <c r="I11" s="3">
        <f>1593.83+345.49-701.18+43.97+4687+725.25+30.96+18.6</f>
        <v>6743.92</v>
      </c>
      <c r="J11" s="3">
        <f>1568.53+21.99</f>
        <v>1590.52</v>
      </c>
      <c r="K11" s="3">
        <f t="shared" si="0"/>
        <v>65647.38</v>
      </c>
      <c r="M11">
        <v>108.57</v>
      </c>
    </row>
    <row r="12" spans="1:13" ht="12.75">
      <c r="A12" s="17" t="s">
        <v>62</v>
      </c>
      <c r="B12" s="3">
        <f>25613.34+2263.21+1559.5+1208.21+7464.37+145.35+80.65+8.23</f>
        <v>38342.86</v>
      </c>
      <c r="C12" s="3">
        <f>2571.89+123.06+99.66</f>
        <v>2794.6099999999997</v>
      </c>
      <c r="D12" s="3">
        <f>4712.5+238.65+504.52+241.32+3973.15+61.76+43.2+13.59</f>
        <v>9788.69</v>
      </c>
      <c r="E12" s="3">
        <f>5194.17+286.35+363.99+62.29+23.54+0.18</f>
        <v>5930.52</v>
      </c>
      <c r="F12" s="3">
        <f>2891.53+6157.98+525.26+477.21+338.04+126.53+165.15+62.3+43.31+2.18+0.18+7.24+9.53</f>
        <v>10806.44</v>
      </c>
      <c r="G12" s="3">
        <v>0</v>
      </c>
      <c r="H12" s="3">
        <f>1607.08+90.67</f>
        <v>1697.75</v>
      </c>
      <c r="I12" s="3">
        <f>5753.68+1033.12+1769.42+366.72-810.53+50.72+32.63+2.66+22.4</f>
        <v>8220.82</v>
      </c>
      <c r="J12" s="3">
        <f>1725.17+25.36</f>
        <v>1750.53</v>
      </c>
      <c r="K12" s="3">
        <f t="shared" si="0"/>
        <v>79332.22</v>
      </c>
      <c r="M12">
        <f>143.4+108.57</f>
        <v>251.97</v>
      </c>
    </row>
    <row r="13" spans="1:13" ht="12.75">
      <c r="A13" s="17" t="s">
        <v>63</v>
      </c>
      <c r="B13" s="3">
        <f>3226.06+1002.11+1308.1+20687.31+6566.18+28.53+14.12</f>
        <v>32832.41</v>
      </c>
      <c r="C13" s="3">
        <f>187.67+999.83</f>
        <v>1187.5</v>
      </c>
      <c r="D13" s="3">
        <f>341.39+169.63+421.99+3417.84+3622.91+36.4+9.58</f>
        <v>8019.74</v>
      </c>
      <c r="E13" s="3">
        <f>409.66+302.19+3985.63+51.74</f>
        <v>4749.22</v>
      </c>
      <c r="F13" s="3">
        <f>682.71+81.28+102.47+278.99+2944.14+5262.59+931.72+51.78+29.08+4.59+5.79</f>
        <v>10375.140000000001</v>
      </c>
      <c r="G13" s="3">
        <v>0</v>
      </c>
      <c r="H13" s="3">
        <f>1608.04+90.51</f>
        <v>1698.55</v>
      </c>
      <c r="I13" s="3">
        <f>2309.03-714.19+314.74+42.62+5586.75+1012.99+31.04+18.6</f>
        <v>8601.580000000002</v>
      </c>
      <c r="J13" s="3">
        <f>1422.69+21.31</f>
        <v>1444</v>
      </c>
      <c r="K13" s="3">
        <f t="shared" si="0"/>
        <v>68908.14000000001</v>
      </c>
      <c r="M13">
        <v>108.57</v>
      </c>
    </row>
    <row r="14" spans="1:13" ht="12.75">
      <c r="A14" s="17" t="s">
        <v>64</v>
      </c>
      <c r="B14" s="3">
        <f>4023+1529.04+2534.32+37555.67+10681.42+28.53+35.5</f>
        <v>56387.479999999996</v>
      </c>
      <c r="C14" s="3">
        <f>222.73+1811.58</f>
        <v>2034.31</v>
      </c>
      <c r="D14" s="3">
        <f>424.57+203.31+819.64+6283.41+7515.29+49.75+11.48</f>
        <v>15307.45</v>
      </c>
      <c r="E14" s="3">
        <f>509.49+576.19+7541.03+94.57</f>
        <v>8721.279999999999</v>
      </c>
      <c r="F14" s="3">
        <f>849.15+97.42+122.83+531.58+5528.4+9880.68+1026.35+94.57+52.53+5.5+6.93</f>
        <v>18195.939999999995</v>
      </c>
      <c r="G14" s="3"/>
      <c r="H14" s="3">
        <f>2989.16+168</f>
        <v>3157.16</v>
      </c>
      <c r="I14" s="3">
        <f>3110.17-1314.57+608.22+82.85+9395.9+1992.81+46.87+36.48</f>
        <v>13958.73</v>
      </c>
      <c r="J14" s="3">
        <f>2687.07+41.43</f>
        <v>2728.5</v>
      </c>
      <c r="K14" s="3">
        <f t="shared" si="0"/>
        <v>120490.84999999999</v>
      </c>
      <c r="M14">
        <v>213.13</v>
      </c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 ht="12.75">
      <c r="A16" t="s">
        <v>49</v>
      </c>
      <c r="B16" s="3">
        <f>SUM(B3:B15)</f>
        <v>504077.72</v>
      </c>
      <c r="C16" s="3">
        <f aca="true" t="shared" si="1" ref="C16:J16">SUM(C3:C15)</f>
        <v>40975.61</v>
      </c>
      <c r="D16" s="3">
        <f t="shared" si="1"/>
        <v>113184.77</v>
      </c>
      <c r="E16" s="3">
        <f t="shared" si="1"/>
        <v>69996.88</v>
      </c>
      <c r="F16" s="3">
        <f t="shared" si="1"/>
        <v>130787.43999999997</v>
      </c>
      <c r="G16" s="3">
        <f t="shared" si="1"/>
        <v>0</v>
      </c>
      <c r="H16" s="3">
        <f t="shared" si="1"/>
        <v>17471.269999999997</v>
      </c>
      <c r="I16" s="3">
        <f t="shared" si="1"/>
        <v>85516.14</v>
      </c>
      <c r="J16" s="3">
        <f t="shared" si="1"/>
        <v>25273.44</v>
      </c>
      <c r="K16" s="3">
        <f t="shared" si="0"/>
        <v>987283.2699999999</v>
      </c>
      <c r="M16">
        <f>SUM(M3:M15)</f>
        <v>1276.54</v>
      </c>
    </row>
    <row r="17" spans="2:8" ht="12.75">
      <c r="B17" s="3"/>
      <c r="C17" s="3"/>
      <c r="D17" s="3"/>
      <c r="E17" s="3"/>
      <c r="F17" s="3"/>
      <c r="G17" s="3"/>
      <c r="H17" s="3"/>
    </row>
    <row r="18" spans="1:11" ht="12.75">
      <c r="A18" t="s">
        <v>66</v>
      </c>
      <c r="B18" s="3">
        <f>50916.04*51.06%</f>
        <v>25997.730024000004</v>
      </c>
      <c r="C18" s="3">
        <f>50916.04*4.15%</f>
        <v>2113.01566</v>
      </c>
      <c r="D18" s="3">
        <f>50916.04*11.46%</f>
        <v>5834.9781840000005</v>
      </c>
      <c r="E18" s="3">
        <f>50916.04*7.09%</f>
        <v>3609.9472360000004</v>
      </c>
      <c r="F18" s="3">
        <f>50916.04*13.25%</f>
        <v>6746.375300000001</v>
      </c>
      <c r="G18" s="3"/>
      <c r="H18" s="3">
        <f>50916.04*1.77%</f>
        <v>901.2139080000001</v>
      </c>
      <c r="I18" s="3">
        <f>50916.04*8.66%</f>
        <v>4409.329064</v>
      </c>
      <c r="J18" s="3">
        <f>50916.04*2.56%</f>
        <v>1303.450624</v>
      </c>
      <c r="K18" s="3">
        <f>SUM(B18:J18)</f>
        <v>50916.04</v>
      </c>
    </row>
    <row r="19" spans="2:13" ht="12.75">
      <c r="B19" s="3"/>
      <c r="C19" s="3"/>
      <c r="D19" s="3"/>
      <c r="E19" s="3"/>
      <c r="F19" s="3"/>
      <c r="G19" s="3"/>
      <c r="H19" s="3"/>
      <c r="K19" s="3"/>
      <c r="M19" s="3"/>
    </row>
    <row r="20" spans="2:8" ht="12.75">
      <c r="B20" s="3"/>
      <c r="C20" s="3"/>
      <c r="D20" s="3"/>
      <c r="E20" s="3"/>
      <c r="F20" s="3"/>
      <c r="G20" s="3"/>
      <c r="H20" s="3"/>
    </row>
    <row r="21" spans="2:10" ht="12.75">
      <c r="B21" s="3">
        <f>B16*100/K16</f>
        <v>51.05705072871336</v>
      </c>
      <c r="C21" s="3">
        <f>C16*100/K16</f>
        <v>4.150339750009134</v>
      </c>
      <c r="D21" s="3">
        <f>D16*100/K16</f>
        <v>11.464264962172408</v>
      </c>
      <c r="E21" s="3">
        <f>E16*100/K16</f>
        <v>7.089847678670784</v>
      </c>
      <c r="F21" s="3">
        <f>F16*100/K16</f>
        <v>13.247205130904325</v>
      </c>
      <c r="G21" s="3"/>
      <c r="H21" s="3">
        <f>H16*100/K16</f>
        <v>1.7696309185913786</v>
      </c>
      <c r="I21" s="25">
        <f>I16*100/K16</f>
        <v>8.661763305277118</v>
      </c>
      <c r="J21" s="25">
        <f>J16*100/K16</f>
        <v>2.5598975256615057</v>
      </c>
    </row>
    <row r="22" spans="2:8" ht="12.75">
      <c r="B22" s="3"/>
      <c r="C22" s="3"/>
      <c r="D22" s="3"/>
      <c r="E22" s="3"/>
      <c r="F22" s="3"/>
      <c r="G22" s="3"/>
      <c r="H22" s="3"/>
    </row>
    <row r="23" spans="2:8" ht="12.75">
      <c r="B23" s="3"/>
      <c r="C23" s="3"/>
      <c r="D23" s="3"/>
      <c r="E23" s="3"/>
      <c r="F23" s="3"/>
      <c r="G23" s="3"/>
      <c r="H23" s="3"/>
    </row>
    <row r="24" spans="2:8" ht="12.75">
      <c r="B24" s="3"/>
      <c r="C24" s="3"/>
      <c r="D24" s="3"/>
      <c r="E24" s="3"/>
      <c r="F24" s="3"/>
      <c r="G24" s="3"/>
      <c r="H24" s="3"/>
    </row>
    <row r="25" spans="2:8" ht="12.75">
      <c r="B25" s="3"/>
      <c r="C25" s="3"/>
      <c r="D25" s="3"/>
      <c r="E25" s="3"/>
      <c r="F25" s="3"/>
      <c r="G25" s="3"/>
      <c r="H25" s="3"/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3"/>
      <c r="D27" s="3"/>
      <c r="E27" s="3"/>
      <c r="F27" s="3"/>
      <c r="G27" s="3"/>
      <c r="H27" s="3"/>
    </row>
    <row r="28" spans="2:8" ht="12.75">
      <c r="B28" s="3"/>
      <c r="C28" s="3"/>
      <c r="D28" s="3"/>
      <c r="E28" s="3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2.75">
      <c r="B30" s="3"/>
      <c r="C30" s="3"/>
      <c r="D30" s="3"/>
      <c r="E30" s="3"/>
      <c r="F30" s="3"/>
      <c r="G30" s="3"/>
      <c r="H30" s="3"/>
    </row>
    <row r="31" spans="2:8" ht="12.75">
      <c r="B31" s="3"/>
      <c r="C31" s="3"/>
      <c r="D31" s="3"/>
      <c r="E31" s="3"/>
      <c r="F31" s="3"/>
      <c r="G31" s="3"/>
      <c r="H31" s="3"/>
    </row>
    <row r="32" spans="2:8" ht="12.75">
      <c r="B32" s="3"/>
      <c r="C32" s="3"/>
      <c r="D32" s="3"/>
      <c r="E32" s="3"/>
      <c r="F32" s="3"/>
      <c r="G32" s="3"/>
      <c r="H3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Giacosini</dc:creator>
  <cp:keywords/>
  <dc:description/>
  <cp:lastModifiedBy>Mauro Pisani</cp:lastModifiedBy>
  <cp:lastPrinted>2021-05-31T08:53:58Z</cp:lastPrinted>
  <dcterms:created xsi:type="dcterms:W3CDTF">2014-11-19T10:16:05Z</dcterms:created>
  <dcterms:modified xsi:type="dcterms:W3CDTF">2021-05-31T08:54:31Z</dcterms:modified>
  <cp:category/>
  <cp:version/>
  <cp:contentType/>
  <cp:contentStatus/>
</cp:coreProperties>
</file>